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2030" windowHeight="5940" activeTab="0"/>
  </bookViews>
  <sheets>
    <sheet name="Sheet1" sheetId="1" r:id="rId1"/>
  </sheets>
  <definedNames>
    <definedName name="_Fill" hidden="1">'Sheet1'!#REF!</definedName>
    <definedName name="cost_back">'Sheet1'!$B$12</definedName>
    <definedName name="cost_hold">'Sheet1'!$B$11</definedName>
    <definedName name="cost_ot">'Sheet1'!$B$9</definedName>
    <definedName name="cost_reg">'Sheet1'!$B$8</definedName>
    <definedName name="cost_sub">'Sheet1'!$B$10</definedName>
    <definedName name="Decision_vars">'Sheet1'!$B$54:$E$66</definedName>
    <definedName name="Demand_desired">'Sheet1'!$C$109:$C$112</definedName>
    <definedName name="Demand_used">'Sheet1'!$B$109:$B$112</definedName>
    <definedName name="Obj_fct">'Sheet1'!$F$85</definedName>
    <definedName name="_xlnm.Print_Area" localSheetId="0">'Sheet1'!$A$1:$H$124</definedName>
    <definedName name="solver_adj" localSheetId="0" hidden="1">'Sheet1'!$B$54:$E$66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'Sheet1'!$B$54:$E$66</definedName>
    <definedName name="solver_lhs2" localSheetId="0" hidden="1">'Sheet1'!$B$109:$B$112</definedName>
    <definedName name="solver_lhs3" localSheetId="0" hidden="1">'Sheet1'!$B$91:$B$103</definedName>
    <definedName name="solver_lin" localSheetId="0" hidden="1">1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'Sheet1'!$F$85</definedName>
    <definedName name="solver_pre" localSheetId="0" hidden="1">0.0000001</definedName>
    <definedName name="solver_rel1" localSheetId="0" hidden="1">3</definedName>
    <definedName name="solver_rel2" localSheetId="0" hidden="1">2</definedName>
    <definedName name="solver_rel3" localSheetId="0" hidden="1">1</definedName>
    <definedName name="solver_rhs1" localSheetId="0" hidden="1">0</definedName>
    <definedName name="solver_rhs2" localSheetId="0" hidden="1">'Sheet1'!$C$109:$C$112</definedName>
    <definedName name="solver_rhs3" localSheetId="0" hidden="1">'Sheet1'!$C$91:$C$103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'Sheet1'!$B$18:$E$30,'Sheet1'!$B$54:$E$66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_avail">'Sheet1'!$C$91:$C$103</definedName>
    <definedName name="Supply_used">'Sheet1'!$B$91:$B$103</definedName>
  </definedNames>
  <calcPr fullCalcOnLoad="1"/>
</workbook>
</file>

<file path=xl/sharedStrings.xml><?xml version="1.0" encoding="utf-8"?>
<sst xmlns="http://schemas.openxmlformats.org/spreadsheetml/2006/main" count="74" uniqueCount="61">
  <si>
    <t>St. John's University</t>
  </si>
  <si>
    <t>Dr. Patrick Lyons</t>
  </si>
  <si>
    <t>Origins</t>
  </si>
  <si>
    <t>Supply</t>
  </si>
  <si>
    <t>Demand</t>
  </si>
  <si>
    <t>Destination</t>
  </si>
  <si>
    <t>Origin</t>
  </si>
  <si>
    <t>Objective Fct</t>
  </si>
  <si>
    <t>Sums</t>
  </si>
  <si>
    <t>Constraints</t>
  </si>
  <si>
    <t>Input Data</t>
  </si>
  <si>
    <t>Used</t>
  </si>
  <si>
    <t>Available</t>
  </si>
  <si>
    <t>Desired</t>
  </si>
  <si>
    <t>Supply Used &lt;= Supply Available</t>
  </si>
  <si>
    <t>Demand Used = Demand Desired</t>
  </si>
  <si>
    <t>cost_reg</t>
  </si>
  <si>
    <t>regular-time cost</t>
  </si>
  <si>
    <t>cost_ot</t>
  </si>
  <si>
    <t>overtime cost</t>
  </si>
  <si>
    <t>cost_sub</t>
  </si>
  <si>
    <t>subcontracting cost</t>
  </si>
  <si>
    <t>cost_hold</t>
  </si>
  <si>
    <t>inventory holding cost</t>
  </si>
  <si>
    <t>cost_back</t>
  </si>
  <si>
    <t>backorder cost</t>
  </si>
  <si>
    <t>Qtr 1</t>
  </si>
  <si>
    <t>Qtr 2</t>
  </si>
  <si>
    <t>Qtr 3</t>
  </si>
  <si>
    <t>Qtr 4</t>
  </si>
  <si>
    <t>j=1</t>
  </si>
  <si>
    <t>Destinations</t>
  </si>
  <si>
    <t>Reg-time</t>
  </si>
  <si>
    <t>Overtime</t>
  </si>
  <si>
    <t>Subcon</t>
  </si>
  <si>
    <t>i=1  Initial inv</t>
  </si>
  <si>
    <t>2  Reg-time 1</t>
  </si>
  <si>
    <t>3  Overtime 1</t>
  </si>
  <si>
    <t>5  Reg-time 2</t>
  </si>
  <si>
    <t>6  Overtime 2</t>
  </si>
  <si>
    <t>8  Reg-time 3</t>
  </si>
  <si>
    <t>9  Overtime 3</t>
  </si>
  <si>
    <t>11  Reg-time 4</t>
  </si>
  <si>
    <t>12  Overtime 4</t>
  </si>
  <si>
    <t xml:space="preserve">4  Subcon 1  </t>
  </si>
  <si>
    <t xml:space="preserve">7  Subcon 2  </t>
  </si>
  <si>
    <t xml:space="preserve">10  Subcon 3  </t>
  </si>
  <si>
    <t xml:space="preserve">13  Subcon 4  </t>
  </si>
  <si>
    <r>
      <t xml:space="preserve">Demand Desired - </t>
    </r>
    <r>
      <rPr>
        <b/>
        <sz val="16"/>
        <rFont val="Arial"/>
        <family val="2"/>
      </rPr>
      <t>c</t>
    </r>
    <r>
      <rPr>
        <b/>
        <vertAlign val="subscript"/>
        <sz val="16"/>
        <rFont val="Arial"/>
        <family val="2"/>
      </rPr>
      <t xml:space="preserve"> j</t>
    </r>
  </si>
  <si>
    <r>
      <t xml:space="preserve">Available - </t>
    </r>
    <r>
      <rPr>
        <b/>
        <sz val="16"/>
        <rFont val="Arial"/>
        <family val="2"/>
      </rPr>
      <t>b</t>
    </r>
    <r>
      <rPr>
        <b/>
        <vertAlign val="subscript"/>
        <sz val="16"/>
        <rFont val="Arial"/>
        <family val="2"/>
      </rPr>
      <t xml:space="preserve"> i</t>
    </r>
  </si>
  <si>
    <r>
      <t xml:space="preserve">Decision Variables - </t>
    </r>
    <r>
      <rPr>
        <b/>
        <sz val="16"/>
        <rFont val="Arial"/>
        <family val="2"/>
      </rPr>
      <t xml:space="preserve">X </t>
    </r>
    <r>
      <rPr>
        <b/>
        <vertAlign val="subscript"/>
        <sz val="16"/>
        <rFont val="Arial"/>
        <family val="2"/>
      </rPr>
      <t>i j</t>
    </r>
  </si>
  <si>
    <r>
      <t xml:space="preserve">a. Unit Transportation Cost - </t>
    </r>
    <r>
      <rPr>
        <b/>
        <sz val="16"/>
        <rFont val="Arial"/>
        <family val="2"/>
      </rPr>
      <t xml:space="preserve">a </t>
    </r>
    <r>
      <rPr>
        <b/>
        <vertAlign val="subscript"/>
        <sz val="16"/>
        <rFont val="Arial"/>
        <family val="2"/>
      </rPr>
      <t>i j</t>
    </r>
  </si>
  <si>
    <t>b. Define decision variables</t>
  </si>
  <si>
    <t>c. Define objective function</t>
  </si>
  <si>
    <t>d. Define constraints</t>
  </si>
  <si>
    <t>e. Implementation with Excel Solver</t>
  </si>
  <si>
    <t>f. Aggregate Plan</t>
  </si>
  <si>
    <t>Operations Management</t>
  </si>
  <si>
    <t>Russell ed 5</t>
  </si>
  <si>
    <t>Russell Chapter 13, Example 4, page 596</t>
  </si>
  <si>
    <t>Mgt 509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</si>
</sst>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General_)"/>
    <numFmt numFmtId="167" formatCode="0_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vertAlign val="sub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7" fillId="0" borderId="1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 quotePrefix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Font="1" applyBorder="1" applyAlignment="1" quotePrefix="1">
      <alignment horizontal="centerContinuous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7" fillId="0" borderId="26" xfId="0" applyFont="1" applyBorder="1" applyAlignment="1" quotePrefix="1">
      <alignment horizontal="left"/>
    </xf>
    <xf numFmtId="0" fontId="0" fillId="0" borderId="10" xfId="0" applyBorder="1" applyAlignment="1" quotePrefix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27" xfId="0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28" xfId="0" applyFont="1" applyBorder="1" applyAlignment="1" quotePrefix="1">
      <alignment horizontal="left"/>
    </xf>
    <xf numFmtId="0" fontId="0" fillId="0" borderId="29" xfId="0" applyFont="1" applyBorder="1" applyAlignment="1">
      <alignment/>
    </xf>
    <xf numFmtId="0" fontId="0" fillId="0" borderId="8" xfId="0" applyFont="1" applyBorder="1" applyAlignment="1" quotePrefix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Continuous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2" borderId="9" xfId="0" applyNumberFormat="1" applyFont="1" applyFill="1" applyBorder="1" applyAlignment="1">
      <alignment horizontal="center"/>
    </xf>
    <xf numFmtId="3" fontId="0" fillId="2" borderId="29" xfId="0" applyNumberFormat="1" applyFont="1" applyFill="1" applyBorder="1" applyAlignment="1">
      <alignment horizontal="center"/>
    </xf>
    <xf numFmtId="3" fontId="0" fillId="2" borderId="3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49</xdr:row>
      <xdr:rowOff>133350</xdr:rowOff>
    </xdr:from>
    <xdr:to>
      <xdr:col>7</xdr:col>
      <xdr:colOff>0</xdr:colOff>
      <xdr:row>52</xdr:row>
      <xdr:rowOff>9525</xdr:rowOff>
    </xdr:to>
    <xdr:sp>
      <xdr:nvSpPr>
        <xdr:cNvPr id="1" name="Text 11"/>
        <xdr:cNvSpPr txBox="1">
          <a:spLocks noChangeArrowheads="1"/>
        </xdr:cNvSpPr>
      </xdr:nvSpPr>
      <xdr:spPr>
        <a:xfrm>
          <a:off x="5067300" y="10191750"/>
          <a:ext cx="20478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To display Solver Window,
use Tools-Solver menu.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23"/>
  <sheetViews>
    <sheetView showGridLines="0" tabSelected="1" zoomScale="75" zoomScaleNormal="75" workbookViewId="0" topLeftCell="A1">
      <selection activeCell="A3" sqref="A3"/>
    </sheetView>
  </sheetViews>
  <sheetFormatPr defaultColWidth="9.77734375" defaultRowHeight="15"/>
  <cols>
    <col min="1" max="1" width="18.77734375" style="0" customWidth="1"/>
    <col min="2" max="5" width="9.77734375" style="0" customWidth="1"/>
    <col min="6" max="6" width="12.77734375" style="0" customWidth="1"/>
    <col min="7" max="7" width="12.3359375" style="0" customWidth="1"/>
    <col min="8" max="8" width="11.88671875" style="0" customWidth="1"/>
  </cols>
  <sheetData>
    <row r="1" spans="1:8" ht="18">
      <c r="A1" s="3" t="s">
        <v>0</v>
      </c>
      <c r="B1" s="4"/>
      <c r="C1" s="4"/>
      <c r="D1" s="4"/>
      <c r="E1" s="4"/>
      <c r="F1" s="4"/>
      <c r="G1" s="4"/>
      <c r="H1" s="4"/>
    </row>
    <row r="2" spans="1:8" ht="15">
      <c r="A2" s="1" t="s">
        <v>60</v>
      </c>
      <c r="H2" s="2" t="s">
        <v>1</v>
      </c>
    </row>
    <row r="3" spans="1:8" ht="15">
      <c r="A3" t="s">
        <v>57</v>
      </c>
      <c r="H3" s="2" t="s">
        <v>58</v>
      </c>
    </row>
    <row r="5" spans="1:8" ht="18">
      <c r="A5" s="5" t="s">
        <v>59</v>
      </c>
      <c r="B5" s="4"/>
      <c r="C5" s="4"/>
      <c r="D5" s="4"/>
      <c r="E5" s="4"/>
      <c r="F5" s="4"/>
      <c r="G5" s="4"/>
      <c r="H5" s="4"/>
    </row>
    <row r="7" spans="1:8" ht="20.25">
      <c r="A7" s="6" t="s">
        <v>10</v>
      </c>
      <c r="B7" s="35"/>
      <c r="C7" s="35"/>
      <c r="D7" s="35"/>
      <c r="E7" s="35"/>
      <c r="F7" s="7"/>
      <c r="G7" s="7"/>
      <c r="H7" s="8"/>
    </row>
    <row r="8" spans="1:8" ht="15" customHeight="1">
      <c r="A8" s="34"/>
      <c r="B8" s="38">
        <v>20</v>
      </c>
      <c r="C8" s="39" t="s">
        <v>16</v>
      </c>
      <c r="D8" s="40" t="s">
        <v>17</v>
      </c>
      <c r="E8" s="41"/>
      <c r="F8" s="35"/>
      <c r="G8" s="16"/>
      <c r="H8" s="16"/>
    </row>
    <row r="9" spans="1:8" ht="15" customHeight="1">
      <c r="A9" s="34"/>
      <c r="B9" s="42">
        <v>25</v>
      </c>
      <c r="C9" s="36" t="s">
        <v>18</v>
      </c>
      <c r="D9" s="37" t="s">
        <v>19</v>
      </c>
      <c r="E9" s="43"/>
      <c r="F9" s="16"/>
      <c r="G9" s="16"/>
      <c r="H9" s="16"/>
    </row>
    <row r="10" spans="1:8" ht="15" customHeight="1">
      <c r="A10" s="34"/>
      <c r="B10" s="42">
        <v>28</v>
      </c>
      <c r="C10" s="36" t="s">
        <v>20</v>
      </c>
      <c r="D10" s="37" t="s">
        <v>21</v>
      </c>
      <c r="E10" s="43"/>
      <c r="F10" s="16"/>
      <c r="G10" s="16"/>
      <c r="H10" s="16"/>
    </row>
    <row r="11" spans="1:8" ht="15" customHeight="1">
      <c r="A11" s="34"/>
      <c r="B11" s="42">
        <v>3</v>
      </c>
      <c r="C11" s="36" t="s">
        <v>22</v>
      </c>
      <c r="D11" s="37" t="s">
        <v>23</v>
      </c>
      <c r="E11" s="43"/>
      <c r="F11" s="16"/>
      <c r="G11" s="16"/>
      <c r="H11" s="16"/>
    </row>
    <row r="12" spans="1:8" ht="15" customHeight="1">
      <c r="A12" s="34"/>
      <c r="B12" s="44">
        <v>10</v>
      </c>
      <c r="C12" s="45" t="s">
        <v>24</v>
      </c>
      <c r="D12" s="46" t="s">
        <v>25</v>
      </c>
      <c r="E12" s="47"/>
      <c r="F12" s="16"/>
      <c r="G12" s="16"/>
      <c r="H12" s="16"/>
    </row>
    <row r="13" spans="1:8" ht="15" customHeight="1">
      <c r="A13" s="34"/>
      <c r="B13" s="16"/>
      <c r="C13" s="16"/>
      <c r="D13" s="16"/>
      <c r="E13" s="16"/>
      <c r="F13" s="16"/>
      <c r="G13" s="16"/>
      <c r="H13" s="16"/>
    </row>
    <row r="14" spans="1:8" ht="22.5" customHeight="1">
      <c r="A14" s="34"/>
      <c r="B14" s="107" t="s">
        <v>51</v>
      </c>
      <c r="C14" s="26"/>
      <c r="D14" s="26"/>
      <c r="E14" s="14"/>
      <c r="F14" s="16"/>
      <c r="G14" s="16"/>
      <c r="H14" s="16"/>
    </row>
    <row r="15" spans="2:6" ht="15">
      <c r="B15" s="108" t="s">
        <v>31</v>
      </c>
      <c r="C15" s="109"/>
      <c r="D15" s="109"/>
      <c r="E15" s="110"/>
      <c r="F15" s="12"/>
    </row>
    <row r="16" spans="1:6" ht="15">
      <c r="A16" s="79"/>
      <c r="B16" s="11" t="s">
        <v>30</v>
      </c>
      <c r="C16" s="11">
        <v>2</v>
      </c>
      <c r="D16" s="11">
        <v>3</v>
      </c>
      <c r="E16" s="11">
        <v>4</v>
      </c>
      <c r="F16" s="13" t="s">
        <v>3</v>
      </c>
    </row>
    <row r="17" spans="1:6" ht="23.25">
      <c r="A17" s="13" t="s">
        <v>2</v>
      </c>
      <c r="B17" s="63" t="s">
        <v>26</v>
      </c>
      <c r="C17" s="63" t="s">
        <v>27</v>
      </c>
      <c r="D17" s="63" t="s">
        <v>28</v>
      </c>
      <c r="E17" s="13" t="s">
        <v>29</v>
      </c>
      <c r="F17" s="9" t="s">
        <v>49</v>
      </c>
    </row>
    <row r="18" spans="1:6" ht="15">
      <c r="A18" s="63" t="s">
        <v>35</v>
      </c>
      <c r="B18" s="13">
        <v>0</v>
      </c>
      <c r="C18" s="13">
        <f>cost_hold</f>
        <v>3</v>
      </c>
      <c r="D18" s="13">
        <f>2*cost_hold</f>
        <v>6</v>
      </c>
      <c r="E18" s="13">
        <f>3*cost_hold</f>
        <v>9</v>
      </c>
      <c r="F18" s="101">
        <v>300</v>
      </c>
    </row>
    <row r="19" spans="1:6" ht="15">
      <c r="A19" s="13" t="s">
        <v>36</v>
      </c>
      <c r="B19" s="78">
        <f>cost_reg</f>
        <v>20</v>
      </c>
      <c r="C19" s="13">
        <f>cost_reg+cost_hold</f>
        <v>23</v>
      </c>
      <c r="D19" s="13">
        <f>cost_reg+2*cost_hold</f>
        <v>26</v>
      </c>
      <c r="E19" s="13">
        <f>cost_reg+3*cost_hold</f>
        <v>29</v>
      </c>
      <c r="F19" s="101">
        <v>1000</v>
      </c>
    </row>
    <row r="20" spans="1:6" ht="15">
      <c r="A20" s="9" t="s">
        <v>37</v>
      </c>
      <c r="B20" s="77">
        <f>cost_ot</f>
        <v>25</v>
      </c>
      <c r="C20" s="9">
        <f>cost_ot+cost_hold</f>
        <v>28</v>
      </c>
      <c r="D20" s="9">
        <f>cost_ot+2*cost_hold</f>
        <v>31</v>
      </c>
      <c r="E20" s="9">
        <f>cost_ot+3*cost_hold</f>
        <v>34</v>
      </c>
      <c r="F20" s="102">
        <v>100</v>
      </c>
    </row>
    <row r="21" spans="1:6" ht="15">
      <c r="A21" s="10" t="s">
        <v>44</v>
      </c>
      <c r="B21" s="64">
        <f>cost_sub</f>
        <v>28</v>
      </c>
      <c r="C21" s="10">
        <f>cost_sub+cost_hold</f>
        <v>31</v>
      </c>
      <c r="D21" s="10">
        <f>cost_sub+2*cost_hold</f>
        <v>34</v>
      </c>
      <c r="E21" s="10">
        <f>cost_sub+3*cost_hold</f>
        <v>37</v>
      </c>
      <c r="F21" s="103">
        <v>500</v>
      </c>
    </row>
    <row r="22" spans="1:6" ht="15">
      <c r="A22" s="13" t="s">
        <v>38</v>
      </c>
      <c r="B22" s="78">
        <f>cost_reg+cost_back</f>
        <v>30</v>
      </c>
      <c r="C22" s="13">
        <f>cost_reg</f>
        <v>20</v>
      </c>
      <c r="D22" s="13">
        <f>cost_reg+cost_hold</f>
        <v>23</v>
      </c>
      <c r="E22" s="13">
        <f>cost_reg+2*cost_hold</f>
        <v>26</v>
      </c>
      <c r="F22" s="101">
        <v>1200</v>
      </c>
    </row>
    <row r="23" spans="1:6" ht="15">
      <c r="A23" s="9" t="s">
        <v>39</v>
      </c>
      <c r="B23" s="77">
        <f>cost_ot+cost_back</f>
        <v>35</v>
      </c>
      <c r="C23" s="9">
        <f>cost_ot</f>
        <v>25</v>
      </c>
      <c r="D23" s="9">
        <f>cost_ot+cost_hold</f>
        <v>28</v>
      </c>
      <c r="E23" s="9">
        <f>cost_ot+2*cost_hold</f>
        <v>31</v>
      </c>
      <c r="F23" s="102">
        <v>150</v>
      </c>
    </row>
    <row r="24" spans="1:6" ht="15">
      <c r="A24" s="10" t="s">
        <v>45</v>
      </c>
      <c r="B24" s="64">
        <f>cost_sub+cost_back</f>
        <v>38</v>
      </c>
      <c r="C24" s="10">
        <f>cost_sub</f>
        <v>28</v>
      </c>
      <c r="D24" s="10">
        <f>cost_sub+cost_hold</f>
        <v>31</v>
      </c>
      <c r="E24" s="10">
        <f>cost_sub+2*cost_hold</f>
        <v>34</v>
      </c>
      <c r="F24" s="103">
        <v>500</v>
      </c>
    </row>
    <row r="25" spans="1:6" ht="15">
      <c r="A25" s="13" t="s">
        <v>40</v>
      </c>
      <c r="B25" s="78">
        <f>cost_reg+2*cost_back</f>
        <v>40</v>
      </c>
      <c r="C25" s="13">
        <f>cost_reg+cost_back</f>
        <v>30</v>
      </c>
      <c r="D25" s="13">
        <f>cost_reg</f>
        <v>20</v>
      </c>
      <c r="E25" s="13">
        <f>cost_reg+cost_hold</f>
        <v>23</v>
      </c>
      <c r="F25" s="101">
        <v>1300</v>
      </c>
    </row>
    <row r="26" spans="1:6" ht="15">
      <c r="A26" s="9" t="s">
        <v>41</v>
      </c>
      <c r="B26" s="77">
        <f>cost_ot+2*cost_back</f>
        <v>45</v>
      </c>
      <c r="C26" s="9">
        <f>cost_ot+cost_back</f>
        <v>35</v>
      </c>
      <c r="D26" s="9">
        <f>cost_ot</f>
        <v>25</v>
      </c>
      <c r="E26" s="9">
        <f>cost_ot+cost_hold</f>
        <v>28</v>
      </c>
      <c r="F26" s="102">
        <v>200</v>
      </c>
    </row>
    <row r="27" spans="1:6" ht="15">
      <c r="A27" s="10" t="s">
        <v>46</v>
      </c>
      <c r="B27" s="64">
        <f>cost_sub+2*cost_back</f>
        <v>48</v>
      </c>
      <c r="C27" s="10">
        <f>cost_sub+cost_back</f>
        <v>38</v>
      </c>
      <c r="D27" s="10">
        <f>cost_sub</f>
        <v>28</v>
      </c>
      <c r="E27" s="10">
        <f>cost_sub+cost_hold</f>
        <v>31</v>
      </c>
      <c r="F27" s="103">
        <v>500</v>
      </c>
    </row>
    <row r="28" spans="1:6" ht="15">
      <c r="A28" s="13" t="s">
        <v>42</v>
      </c>
      <c r="B28" s="78">
        <f>cost_reg+3*cost_back</f>
        <v>50</v>
      </c>
      <c r="C28" s="13">
        <f>cost_reg+2*cost_back</f>
        <v>40</v>
      </c>
      <c r="D28" s="13">
        <f>cost_reg+cost_back</f>
        <v>30</v>
      </c>
      <c r="E28" s="13">
        <f>cost_reg</f>
        <v>20</v>
      </c>
      <c r="F28" s="101">
        <v>1300</v>
      </c>
    </row>
    <row r="29" spans="1:6" ht="15">
      <c r="A29" s="9" t="s">
        <v>43</v>
      </c>
      <c r="B29" s="77">
        <f>cost_ot+3*cost_back</f>
        <v>55</v>
      </c>
      <c r="C29" s="9">
        <f>cost_ot+2*cost_back</f>
        <v>45</v>
      </c>
      <c r="D29" s="9">
        <f>cost_ot+cost_back</f>
        <v>35</v>
      </c>
      <c r="E29" s="9">
        <f>cost_ot</f>
        <v>25</v>
      </c>
      <c r="F29" s="102">
        <v>200</v>
      </c>
    </row>
    <row r="30" spans="1:6" ht="15">
      <c r="A30" s="10" t="s">
        <v>47</v>
      </c>
      <c r="B30" s="64">
        <f>cost_sub+3*cost_back</f>
        <v>58</v>
      </c>
      <c r="C30" s="10">
        <f>cost_sub+2*cost_back</f>
        <v>48</v>
      </c>
      <c r="D30" s="10">
        <f>cost_sub+cost_back</f>
        <v>38</v>
      </c>
      <c r="E30" s="10">
        <f>cost_sub</f>
        <v>28</v>
      </c>
      <c r="F30" s="103">
        <v>500</v>
      </c>
    </row>
    <row r="31" spans="1:5" ht="23.25">
      <c r="A31" s="10" t="s">
        <v>48</v>
      </c>
      <c r="B31" s="104">
        <v>900</v>
      </c>
      <c r="C31" s="105">
        <v>1500</v>
      </c>
      <c r="D31" s="105">
        <v>1600</v>
      </c>
      <c r="E31" s="106">
        <v>3000</v>
      </c>
    </row>
    <row r="34" spans="1:8" ht="20.25">
      <c r="A34" s="6" t="s">
        <v>52</v>
      </c>
      <c r="B34" s="7"/>
      <c r="C34" s="7"/>
      <c r="D34" s="7"/>
      <c r="E34" s="7"/>
      <c r="F34" s="7"/>
      <c r="G34" s="7"/>
      <c r="H34" s="8"/>
    </row>
    <row r="38" spans="1:8" ht="20.25">
      <c r="A38" s="15" t="s">
        <v>53</v>
      </c>
      <c r="B38" s="7"/>
      <c r="C38" s="7"/>
      <c r="D38" s="7"/>
      <c r="E38" s="7"/>
      <c r="F38" s="7"/>
      <c r="G38" s="7"/>
      <c r="H38" s="8"/>
    </row>
    <row r="44" spans="1:8" ht="20.25">
      <c r="A44" s="6" t="s">
        <v>54</v>
      </c>
      <c r="B44" s="7"/>
      <c r="C44" s="7"/>
      <c r="D44" s="7"/>
      <c r="E44" s="7"/>
      <c r="F44" s="7"/>
      <c r="G44" s="7"/>
      <c r="H44" s="8"/>
    </row>
    <row r="48" ht="15.75" customHeight="1"/>
    <row r="49" spans="1:8" ht="20.25" customHeight="1">
      <c r="A49" s="48" t="s">
        <v>55</v>
      </c>
      <c r="B49" s="35"/>
      <c r="C49" s="35"/>
      <c r="D49" s="35"/>
      <c r="E49" s="35"/>
      <c r="F49" s="7"/>
      <c r="G49" s="7"/>
      <c r="H49" s="8"/>
    </row>
    <row r="50" spans="1:7" ht="24" customHeight="1">
      <c r="A50" s="49" t="s">
        <v>50</v>
      </c>
      <c r="B50" s="50"/>
      <c r="C50" s="50"/>
      <c r="D50" s="50"/>
      <c r="E50" s="51"/>
      <c r="G50" s="16"/>
    </row>
    <row r="51" spans="1:7" ht="16.5" customHeight="1">
      <c r="A51" s="52"/>
      <c r="B51" s="19" t="s">
        <v>5</v>
      </c>
      <c r="C51" s="27"/>
      <c r="D51" s="27"/>
      <c r="E51" s="20"/>
      <c r="G51" s="18"/>
    </row>
    <row r="52" spans="1:7" ht="16.5" customHeight="1">
      <c r="A52" s="53"/>
      <c r="B52" s="21" t="str">
        <f aca="true" t="shared" si="0" ref="B52:E53">B16</f>
        <v>j=1</v>
      </c>
      <c r="C52" s="21">
        <f t="shared" si="0"/>
        <v>2</v>
      </c>
      <c r="D52" s="21">
        <f t="shared" si="0"/>
        <v>3</v>
      </c>
      <c r="E52" s="21">
        <f t="shared" si="0"/>
        <v>4</v>
      </c>
      <c r="G52" s="18"/>
    </row>
    <row r="53" spans="1:7" ht="16.5" customHeight="1">
      <c r="A53" s="33" t="s">
        <v>6</v>
      </c>
      <c r="B53" s="22" t="str">
        <f t="shared" si="0"/>
        <v>Qtr 1</v>
      </c>
      <c r="C53" s="22" t="str">
        <f t="shared" si="0"/>
        <v>Qtr 2</v>
      </c>
      <c r="D53" s="22" t="str">
        <f t="shared" si="0"/>
        <v>Qtr 3</v>
      </c>
      <c r="E53" s="22" t="str">
        <f t="shared" si="0"/>
        <v>Qtr 4</v>
      </c>
      <c r="G53" s="18"/>
    </row>
    <row r="54" spans="1:7" ht="16.5" customHeight="1">
      <c r="A54" s="58" t="str">
        <f>A18</f>
        <v>i=1  Initial inv</v>
      </c>
      <c r="B54" s="93">
        <v>0</v>
      </c>
      <c r="C54" s="93">
        <v>300</v>
      </c>
      <c r="D54" s="93">
        <v>0</v>
      </c>
      <c r="E54" s="93">
        <v>0</v>
      </c>
      <c r="G54" s="18"/>
    </row>
    <row r="55" spans="1:7" ht="16.5" customHeight="1">
      <c r="A55" s="58" t="str">
        <f>A19</f>
        <v>2  Reg-time 1</v>
      </c>
      <c r="B55" s="97">
        <v>800</v>
      </c>
      <c r="C55" s="93">
        <v>0</v>
      </c>
      <c r="D55" s="93">
        <v>0</v>
      </c>
      <c r="E55" s="93">
        <v>200</v>
      </c>
      <c r="G55" s="18"/>
    </row>
    <row r="56" spans="1:7" ht="16.5" customHeight="1">
      <c r="A56" s="61" t="str">
        <f aca="true" t="shared" si="1" ref="A56:A66">A20</f>
        <v>3  Overtime 1</v>
      </c>
      <c r="B56" s="98">
        <v>100</v>
      </c>
      <c r="C56" s="94">
        <v>0</v>
      </c>
      <c r="D56" s="94">
        <v>0</v>
      </c>
      <c r="E56" s="94">
        <v>0</v>
      </c>
      <c r="G56" s="18"/>
    </row>
    <row r="57" spans="1:7" ht="16.5" customHeight="1">
      <c r="A57" s="62" t="str">
        <f t="shared" si="1"/>
        <v>4  Subcon 1  </v>
      </c>
      <c r="B57" s="98">
        <v>0</v>
      </c>
      <c r="C57" s="94">
        <v>0</v>
      </c>
      <c r="D57" s="94">
        <v>0</v>
      </c>
      <c r="E57" s="94">
        <v>0</v>
      </c>
      <c r="G57" s="18"/>
    </row>
    <row r="58" spans="1:7" ht="16.5" customHeight="1">
      <c r="A58" s="58" t="str">
        <f t="shared" si="1"/>
        <v>5  Reg-time 2</v>
      </c>
      <c r="B58" s="97">
        <v>0</v>
      </c>
      <c r="C58" s="93">
        <v>1050</v>
      </c>
      <c r="D58" s="93">
        <v>0</v>
      </c>
      <c r="E58" s="93">
        <v>150</v>
      </c>
      <c r="G58" s="18"/>
    </row>
    <row r="59" spans="1:7" ht="16.5" customHeight="1">
      <c r="A59" s="61" t="str">
        <f t="shared" si="1"/>
        <v>6  Overtime 2</v>
      </c>
      <c r="B59" s="98">
        <v>0</v>
      </c>
      <c r="C59" s="94">
        <v>150</v>
      </c>
      <c r="D59" s="94">
        <v>0</v>
      </c>
      <c r="E59" s="94">
        <v>0</v>
      </c>
      <c r="G59" s="18"/>
    </row>
    <row r="60" spans="1:7" ht="16.5" customHeight="1">
      <c r="A60" s="62" t="str">
        <f t="shared" si="1"/>
        <v>7  Subcon 2  </v>
      </c>
      <c r="B60" s="99">
        <v>0</v>
      </c>
      <c r="C60" s="84">
        <v>0</v>
      </c>
      <c r="D60" s="84">
        <v>0</v>
      </c>
      <c r="E60" s="84">
        <v>250</v>
      </c>
      <c r="G60" s="18"/>
    </row>
    <row r="61" spans="1:7" ht="16.5" customHeight="1">
      <c r="A61" s="58" t="str">
        <f t="shared" si="1"/>
        <v>8  Reg-time 3</v>
      </c>
      <c r="B61" s="97">
        <v>0</v>
      </c>
      <c r="C61" s="93">
        <v>0</v>
      </c>
      <c r="D61" s="93">
        <v>900</v>
      </c>
      <c r="E61" s="93">
        <v>400</v>
      </c>
      <c r="G61" s="18"/>
    </row>
    <row r="62" spans="1:7" ht="16.5" customHeight="1">
      <c r="A62" s="61" t="str">
        <f t="shared" si="1"/>
        <v>9  Overtime 3</v>
      </c>
      <c r="B62" s="98">
        <v>0</v>
      </c>
      <c r="C62" s="94">
        <v>0</v>
      </c>
      <c r="D62" s="94">
        <v>200</v>
      </c>
      <c r="E62" s="94">
        <v>0</v>
      </c>
      <c r="G62" s="18"/>
    </row>
    <row r="63" spans="1:7" ht="16.5" customHeight="1">
      <c r="A63" s="62" t="str">
        <f t="shared" si="1"/>
        <v>10  Subcon 3  </v>
      </c>
      <c r="B63" s="99">
        <v>0</v>
      </c>
      <c r="C63" s="84">
        <v>0</v>
      </c>
      <c r="D63" s="84">
        <v>500</v>
      </c>
      <c r="E63" s="84">
        <v>0</v>
      </c>
      <c r="G63" s="18"/>
    </row>
    <row r="64" spans="1:7" ht="16.5" customHeight="1">
      <c r="A64" s="58" t="str">
        <f t="shared" si="1"/>
        <v>11  Reg-time 4</v>
      </c>
      <c r="B64" s="97">
        <v>0</v>
      </c>
      <c r="C64" s="93">
        <v>0</v>
      </c>
      <c r="D64" s="93">
        <v>0</v>
      </c>
      <c r="E64" s="93">
        <v>1300</v>
      </c>
      <c r="G64" s="18"/>
    </row>
    <row r="65" spans="1:7" ht="16.5" customHeight="1">
      <c r="A65" s="61" t="str">
        <f t="shared" si="1"/>
        <v>12  Overtime 4</v>
      </c>
      <c r="B65" s="98">
        <v>0</v>
      </c>
      <c r="C65" s="94">
        <v>0</v>
      </c>
      <c r="D65" s="94">
        <v>0</v>
      </c>
      <c r="E65" s="94">
        <v>200</v>
      </c>
      <c r="G65" s="18"/>
    </row>
    <row r="66" spans="1:7" ht="16.5" customHeight="1">
      <c r="A66" s="62" t="str">
        <f t="shared" si="1"/>
        <v>13  Subcon 4  </v>
      </c>
      <c r="B66" s="99">
        <v>0</v>
      </c>
      <c r="C66" s="84">
        <v>0</v>
      </c>
      <c r="D66" s="84">
        <v>0</v>
      </c>
      <c r="E66" s="84">
        <v>500</v>
      </c>
      <c r="G66" s="18"/>
    </row>
    <row r="67" spans="1:8" ht="16.5" customHeight="1">
      <c r="A67" s="17"/>
      <c r="B67" s="18"/>
      <c r="C67" s="18"/>
      <c r="D67" s="18"/>
      <c r="E67" s="18"/>
      <c r="F67" s="18"/>
      <c r="G67" s="18"/>
      <c r="H67" s="16"/>
    </row>
    <row r="68" spans="1:7" ht="16.5" customHeight="1">
      <c r="A68" s="54" t="s">
        <v>7</v>
      </c>
      <c r="B68" s="55"/>
      <c r="C68" s="55"/>
      <c r="D68" s="55"/>
      <c r="E68" s="55"/>
      <c r="F68" s="20"/>
      <c r="G68" s="18"/>
    </row>
    <row r="69" spans="1:7" ht="16.5" customHeight="1">
      <c r="A69" s="56"/>
      <c r="B69" s="19" t="s">
        <v>5</v>
      </c>
      <c r="C69" s="27"/>
      <c r="D69" s="27"/>
      <c r="E69" s="20"/>
      <c r="F69" s="57"/>
      <c r="G69" s="18"/>
    </row>
    <row r="70" spans="1:7" ht="16.5" customHeight="1">
      <c r="A70" s="56"/>
      <c r="B70" s="23" t="str">
        <f aca="true" t="shared" si="2" ref="B70:E71">B16</f>
        <v>j=1</v>
      </c>
      <c r="C70" s="23">
        <f t="shared" si="2"/>
        <v>2</v>
      </c>
      <c r="D70" s="23">
        <f t="shared" si="2"/>
        <v>3</v>
      </c>
      <c r="E70" s="23">
        <f t="shared" si="2"/>
        <v>4</v>
      </c>
      <c r="F70" s="57"/>
      <c r="G70" s="18"/>
    </row>
    <row r="71" spans="1:7" ht="16.5" customHeight="1">
      <c r="A71" s="23" t="s">
        <v>6</v>
      </c>
      <c r="B71" s="22" t="str">
        <f t="shared" si="2"/>
        <v>Qtr 1</v>
      </c>
      <c r="C71" s="22" t="str">
        <f t="shared" si="2"/>
        <v>Qtr 2</v>
      </c>
      <c r="D71" s="22" t="str">
        <f t="shared" si="2"/>
        <v>Qtr 3</v>
      </c>
      <c r="E71" s="22" t="str">
        <f t="shared" si="2"/>
        <v>Qtr 4</v>
      </c>
      <c r="F71" s="33" t="s">
        <v>8</v>
      </c>
      <c r="G71" s="18"/>
    </row>
    <row r="72" spans="1:7" ht="16.5" customHeight="1">
      <c r="A72" s="58" t="str">
        <f>A18</f>
        <v>i=1  Initial inv</v>
      </c>
      <c r="B72" s="65">
        <f>B18*B54</f>
        <v>0</v>
      </c>
      <c r="C72" s="65">
        <f>C18*C54</f>
        <v>900</v>
      </c>
      <c r="D72" s="65">
        <f>D18*D54</f>
        <v>0</v>
      </c>
      <c r="E72" s="65">
        <f>E18*E54</f>
        <v>0</v>
      </c>
      <c r="F72" s="65">
        <f>SUM(B72:E72)</f>
        <v>900</v>
      </c>
      <c r="G72" s="18"/>
    </row>
    <row r="73" spans="1:7" ht="16.5" customHeight="1">
      <c r="A73" s="58" t="str">
        <f aca="true" t="shared" si="3" ref="A73:A84">A19</f>
        <v>2  Reg-time 1</v>
      </c>
      <c r="B73" s="66">
        <f aca="true" t="shared" si="4" ref="B73:E84">B19*B55</f>
        <v>16000</v>
      </c>
      <c r="C73" s="65">
        <f t="shared" si="4"/>
        <v>0</v>
      </c>
      <c r="D73" s="65">
        <f t="shared" si="4"/>
        <v>0</v>
      </c>
      <c r="E73" s="82">
        <f t="shared" si="4"/>
        <v>5800</v>
      </c>
      <c r="F73" s="65">
        <f aca="true" t="shared" si="5" ref="F73:F84">SUM(B73:E73)</f>
        <v>21800</v>
      </c>
      <c r="G73" s="18"/>
    </row>
    <row r="74" spans="1:7" ht="16.5" customHeight="1">
      <c r="A74" s="61" t="str">
        <f t="shared" si="3"/>
        <v>3  Overtime 1</v>
      </c>
      <c r="B74" s="85">
        <f t="shared" si="4"/>
        <v>2500</v>
      </c>
      <c r="C74" s="81">
        <f t="shared" si="4"/>
        <v>0</v>
      </c>
      <c r="D74" s="81">
        <f t="shared" si="4"/>
        <v>0</v>
      </c>
      <c r="E74" s="83">
        <f t="shared" si="4"/>
        <v>0</v>
      </c>
      <c r="F74" s="81">
        <f t="shared" si="5"/>
        <v>2500</v>
      </c>
      <c r="G74" s="18"/>
    </row>
    <row r="75" spans="1:7" ht="16.5" customHeight="1">
      <c r="A75" s="62" t="str">
        <f t="shared" si="3"/>
        <v>4  Subcon 1  </v>
      </c>
      <c r="B75" s="86">
        <f t="shared" si="4"/>
        <v>0</v>
      </c>
      <c r="C75" s="68">
        <f t="shared" si="4"/>
        <v>0</v>
      </c>
      <c r="D75" s="68">
        <f t="shared" si="4"/>
        <v>0</v>
      </c>
      <c r="E75" s="67">
        <f t="shared" si="4"/>
        <v>0</v>
      </c>
      <c r="F75" s="68">
        <f t="shared" si="5"/>
        <v>0</v>
      </c>
      <c r="G75" s="18"/>
    </row>
    <row r="76" spans="1:7" ht="16.5" customHeight="1">
      <c r="A76" s="58" t="str">
        <f t="shared" si="3"/>
        <v>5  Reg-time 2</v>
      </c>
      <c r="B76" s="66">
        <f t="shared" si="4"/>
        <v>0</v>
      </c>
      <c r="C76" s="65">
        <f t="shared" si="4"/>
        <v>21000</v>
      </c>
      <c r="D76" s="65">
        <f t="shared" si="4"/>
        <v>0</v>
      </c>
      <c r="E76" s="82">
        <f t="shared" si="4"/>
        <v>3900</v>
      </c>
      <c r="F76" s="65">
        <f t="shared" si="5"/>
        <v>24900</v>
      </c>
      <c r="G76" s="18"/>
    </row>
    <row r="77" spans="1:7" ht="16.5" customHeight="1">
      <c r="A77" s="61" t="str">
        <f t="shared" si="3"/>
        <v>6  Overtime 2</v>
      </c>
      <c r="B77" s="85">
        <f t="shared" si="4"/>
        <v>0</v>
      </c>
      <c r="C77" s="81">
        <f t="shared" si="4"/>
        <v>3750</v>
      </c>
      <c r="D77" s="81">
        <f t="shared" si="4"/>
        <v>0</v>
      </c>
      <c r="E77" s="83">
        <f t="shared" si="4"/>
        <v>0</v>
      </c>
      <c r="F77" s="81">
        <f t="shared" si="5"/>
        <v>3750</v>
      </c>
      <c r="G77" s="18"/>
    </row>
    <row r="78" spans="1:7" ht="16.5" customHeight="1">
      <c r="A78" s="62" t="str">
        <f t="shared" si="3"/>
        <v>7  Subcon 2  </v>
      </c>
      <c r="B78" s="86">
        <f t="shared" si="4"/>
        <v>0</v>
      </c>
      <c r="C78" s="81">
        <f t="shared" si="4"/>
        <v>0</v>
      </c>
      <c r="D78" s="81">
        <f t="shared" si="4"/>
        <v>0</v>
      </c>
      <c r="E78" s="83">
        <f t="shared" si="4"/>
        <v>8500</v>
      </c>
      <c r="F78" s="68">
        <f t="shared" si="5"/>
        <v>8500</v>
      </c>
      <c r="G78" s="18"/>
    </row>
    <row r="79" spans="1:7" ht="16.5" customHeight="1">
      <c r="A79" s="58" t="str">
        <f t="shared" si="3"/>
        <v>8  Reg-time 3</v>
      </c>
      <c r="B79" s="87">
        <f t="shared" si="4"/>
        <v>0</v>
      </c>
      <c r="C79" s="65">
        <f t="shared" si="4"/>
        <v>0</v>
      </c>
      <c r="D79" s="65">
        <f t="shared" si="4"/>
        <v>18000</v>
      </c>
      <c r="E79" s="82">
        <f t="shared" si="4"/>
        <v>9200</v>
      </c>
      <c r="F79" s="65">
        <f t="shared" si="5"/>
        <v>27200</v>
      </c>
      <c r="G79" s="18"/>
    </row>
    <row r="80" spans="1:7" ht="16.5" customHeight="1">
      <c r="A80" s="61" t="str">
        <f t="shared" si="3"/>
        <v>9  Overtime 3</v>
      </c>
      <c r="B80" s="80">
        <f t="shared" si="4"/>
        <v>0</v>
      </c>
      <c r="C80" s="81">
        <f t="shared" si="4"/>
        <v>0</v>
      </c>
      <c r="D80" s="81">
        <f t="shared" si="4"/>
        <v>5000</v>
      </c>
      <c r="E80" s="83">
        <f t="shared" si="4"/>
        <v>0</v>
      </c>
      <c r="F80" s="81">
        <f t="shared" si="5"/>
        <v>5000</v>
      </c>
      <c r="G80" s="18"/>
    </row>
    <row r="81" spans="1:7" ht="16.5" customHeight="1">
      <c r="A81" s="62" t="str">
        <f t="shared" si="3"/>
        <v>10  Subcon 3  </v>
      </c>
      <c r="B81" s="80">
        <f t="shared" si="4"/>
        <v>0</v>
      </c>
      <c r="C81" s="68">
        <f t="shared" si="4"/>
        <v>0</v>
      </c>
      <c r="D81" s="68">
        <f t="shared" si="4"/>
        <v>14000</v>
      </c>
      <c r="E81" s="67">
        <f t="shared" si="4"/>
        <v>0</v>
      </c>
      <c r="F81" s="68">
        <f t="shared" si="5"/>
        <v>14000</v>
      </c>
      <c r="G81" s="18"/>
    </row>
    <row r="82" spans="1:7" ht="16.5" customHeight="1">
      <c r="A82" s="58" t="str">
        <f t="shared" si="3"/>
        <v>11  Reg-time 4</v>
      </c>
      <c r="B82" s="66">
        <f t="shared" si="4"/>
        <v>0</v>
      </c>
      <c r="C82" s="65">
        <f t="shared" si="4"/>
        <v>0</v>
      </c>
      <c r="D82" s="65">
        <f t="shared" si="4"/>
        <v>0</v>
      </c>
      <c r="E82" s="82">
        <f t="shared" si="4"/>
        <v>26000</v>
      </c>
      <c r="F82" s="65">
        <f t="shared" si="5"/>
        <v>26000</v>
      </c>
      <c r="G82" s="18"/>
    </row>
    <row r="83" spans="1:7" ht="16.5" customHeight="1">
      <c r="A83" s="61" t="str">
        <f t="shared" si="3"/>
        <v>12  Overtime 4</v>
      </c>
      <c r="B83" s="85">
        <f t="shared" si="4"/>
        <v>0</v>
      </c>
      <c r="C83" s="81">
        <f t="shared" si="4"/>
        <v>0</v>
      </c>
      <c r="D83" s="81">
        <f t="shared" si="4"/>
        <v>0</v>
      </c>
      <c r="E83" s="83">
        <f t="shared" si="4"/>
        <v>5000</v>
      </c>
      <c r="F83" s="81">
        <f t="shared" si="5"/>
        <v>5000</v>
      </c>
      <c r="G83" s="18"/>
    </row>
    <row r="84" spans="1:7" ht="16.5" customHeight="1">
      <c r="A84" s="62" t="str">
        <f t="shared" si="3"/>
        <v>13  Subcon 4  </v>
      </c>
      <c r="B84" s="86">
        <f t="shared" si="4"/>
        <v>0</v>
      </c>
      <c r="C84" s="68">
        <f t="shared" si="4"/>
        <v>0</v>
      </c>
      <c r="D84" s="68">
        <f t="shared" si="4"/>
        <v>0</v>
      </c>
      <c r="E84" s="67">
        <f t="shared" si="4"/>
        <v>14000</v>
      </c>
      <c r="F84" s="68">
        <f t="shared" si="5"/>
        <v>14000</v>
      </c>
      <c r="G84" s="18"/>
    </row>
    <row r="85" spans="1:7" ht="16.5" customHeight="1">
      <c r="A85" s="88" t="s">
        <v>8</v>
      </c>
      <c r="B85" s="68">
        <f>SUM(B72:B84)</f>
        <v>18500</v>
      </c>
      <c r="C85" s="68">
        <f>SUM(C72:C84)</f>
        <v>25650</v>
      </c>
      <c r="D85" s="68">
        <f>SUM(D72:D84)</f>
        <v>37000</v>
      </c>
      <c r="E85" s="68">
        <f>SUM(E72:E84)</f>
        <v>72400</v>
      </c>
      <c r="F85" s="84">
        <f>SUM(B85:E85)</f>
        <v>153550</v>
      </c>
      <c r="G85" s="18"/>
    </row>
    <row r="86" spans="1:8" ht="16.5" customHeight="1">
      <c r="A86" s="17"/>
      <c r="B86" s="18"/>
      <c r="C86" s="18"/>
      <c r="D86" s="18"/>
      <c r="E86" s="18"/>
      <c r="F86" s="18"/>
      <c r="G86" s="18"/>
      <c r="H86" s="16"/>
    </row>
    <row r="87" spans="1:7" ht="16.5" customHeight="1">
      <c r="A87" s="108" t="s">
        <v>9</v>
      </c>
      <c r="B87" s="109"/>
      <c r="C87" s="110"/>
      <c r="D87" s="25"/>
      <c r="G87" s="18"/>
    </row>
    <row r="88" spans="1:7" ht="16.5" customHeight="1">
      <c r="A88" s="108" t="s">
        <v>14</v>
      </c>
      <c r="B88" s="109"/>
      <c r="C88" s="110"/>
      <c r="D88" s="25"/>
      <c r="G88" s="18"/>
    </row>
    <row r="89" spans="1:7" ht="16.5" customHeight="1">
      <c r="A89" s="52"/>
      <c r="B89" s="23" t="s">
        <v>3</v>
      </c>
      <c r="C89" s="23" t="s">
        <v>3</v>
      </c>
      <c r="D89" s="31"/>
      <c r="G89" s="18"/>
    </row>
    <row r="90" spans="1:7" ht="16.5" customHeight="1">
      <c r="A90" s="23" t="s">
        <v>6</v>
      </c>
      <c r="B90" s="21" t="s">
        <v>11</v>
      </c>
      <c r="C90" s="21" t="s">
        <v>12</v>
      </c>
      <c r="D90" s="31"/>
      <c r="G90" s="18"/>
    </row>
    <row r="91" spans="1:7" ht="16.5" customHeight="1">
      <c r="A91" s="58" t="str">
        <f>A18</f>
        <v>i=1  Initial inv</v>
      </c>
      <c r="B91" s="93">
        <f>SUM(B54:E54)</f>
        <v>300</v>
      </c>
      <c r="C91" s="93">
        <f>F18</f>
        <v>300</v>
      </c>
      <c r="D91" s="32"/>
      <c r="G91" s="18"/>
    </row>
    <row r="92" spans="1:7" ht="16.5" customHeight="1">
      <c r="A92" s="58" t="str">
        <f aca="true" t="shared" si="6" ref="A92:A103">A19</f>
        <v>2  Reg-time 1</v>
      </c>
      <c r="B92" s="97">
        <f aca="true" t="shared" si="7" ref="B92:B103">SUM(B55:E55)</f>
        <v>1000</v>
      </c>
      <c r="C92" s="93">
        <f aca="true" t="shared" si="8" ref="C92:C103">F19</f>
        <v>1000</v>
      </c>
      <c r="D92" s="32"/>
      <c r="G92" s="18"/>
    </row>
    <row r="93" spans="1:7" ht="16.5" customHeight="1">
      <c r="A93" s="61" t="str">
        <f t="shared" si="6"/>
        <v>3  Overtime 1</v>
      </c>
      <c r="B93" s="98">
        <f t="shared" si="7"/>
        <v>100</v>
      </c>
      <c r="C93" s="94">
        <f t="shared" si="8"/>
        <v>100</v>
      </c>
      <c r="D93" s="32"/>
      <c r="G93" s="18"/>
    </row>
    <row r="94" spans="1:7" ht="16.5" customHeight="1">
      <c r="A94" s="62" t="str">
        <f t="shared" si="6"/>
        <v>4  Subcon 1  </v>
      </c>
      <c r="B94" s="99">
        <f t="shared" si="7"/>
        <v>0</v>
      </c>
      <c r="C94" s="84">
        <f t="shared" si="8"/>
        <v>500</v>
      </c>
      <c r="D94" s="32"/>
      <c r="G94" s="18"/>
    </row>
    <row r="95" spans="1:7" ht="16.5" customHeight="1">
      <c r="A95" s="58" t="str">
        <f t="shared" si="6"/>
        <v>5  Reg-time 2</v>
      </c>
      <c r="B95" s="97">
        <f t="shared" si="7"/>
        <v>1200</v>
      </c>
      <c r="C95" s="93">
        <f t="shared" si="8"/>
        <v>1200</v>
      </c>
      <c r="D95" s="32"/>
      <c r="G95" s="18"/>
    </row>
    <row r="96" spans="1:7" ht="16.5" customHeight="1">
      <c r="A96" s="61" t="str">
        <f t="shared" si="6"/>
        <v>6  Overtime 2</v>
      </c>
      <c r="B96" s="98">
        <f t="shared" si="7"/>
        <v>150</v>
      </c>
      <c r="C96" s="94">
        <f t="shared" si="8"/>
        <v>150</v>
      </c>
      <c r="D96" s="32"/>
      <c r="G96" s="18"/>
    </row>
    <row r="97" spans="1:7" ht="16.5" customHeight="1">
      <c r="A97" s="62" t="str">
        <f t="shared" si="6"/>
        <v>7  Subcon 2  </v>
      </c>
      <c r="B97" s="98">
        <f t="shared" si="7"/>
        <v>250</v>
      </c>
      <c r="C97" s="94">
        <f t="shared" si="8"/>
        <v>500</v>
      </c>
      <c r="D97" s="32"/>
      <c r="G97" s="18"/>
    </row>
    <row r="98" spans="1:7" ht="16.5" customHeight="1">
      <c r="A98" s="58" t="str">
        <f t="shared" si="6"/>
        <v>8  Reg-time 3</v>
      </c>
      <c r="B98" s="97">
        <f t="shared" si="7"/>
        <v>1300</v>
      </c>
      <c r="C98" s="93">
        <f t="shared" si="8"/>
        <v>1300</v>
      </c>
      <c r="D98" s="32"/>
      <c r="G98" s="18"/>
    </row>
    <row r="99" spans="1:7" ht="16.5" customHeight="1">
      <c r="A99" s="61" t="str">
        <f t="shared" si="6"/>
        <v>9  Overtime 3</v>
      </c>
      <c r="B99" s="98">
        <f t="shared" si="7"/>
        <v>200</v>
      </c>
      <c r="C99" s="94">
        <f t="shared" si="8"/>
        <v>200</v>
      </c>
      <c r="D99" s="32"/>
      <c r="G99" s="18"/>
    </row>
    <row r="100" spans="1:7" ht="16.5" customHeight="1">
      <c r="A100" s="62" t="str">
        <f t="shared" si="6"/>
        <v>10  Subcon 3  </v>
      </c>
      <c r="B100" s="99">
        <f t="shared" si="7"/>
        <v>500</v>
      </c>
      <c r="C100" s="84">
        <f t="shared" si="8"/>
        <v>500</v>
      </c>
      <c r="D100" s="32"/>
      <c r="G100" s="18"/>
    </row>
    <row r="101" spans="1:7" ht="16.5" customHeight="1">
      <c r="A101" s="58" t="str">
        <f t="shared" si="6"/>
        <v>11  Reg-time 4</v>
      </c>
      <c r="B101" s="97">
        <f t="shared" si="7"/>
        <v>1300</v>
      </c>
      <c r="C101" s="93">
        <f t="shared" si="8"/>
        <v>1300</v>
      </c>
      <c r="D101" s="32"/>
      <c r="G101" s="18"/>
    </row>
    <row r="102" spans="1:7" ht="16.5" customHeight="1">
      <c r="A102" s="61" t="str">
        <f t="shared" si="6"/>
        <v>12  Overtime 4</v>
      </c>
      <c r="B102" s="98">
        <f t="shared" si="7"/>
        <v>200</v>
      </c>
      <c r="C102" s="94">
        <f t="shared" si="8"/>
        <v>200</v>
      </c>
      <c r="D102" s="32"/>
      <c r="G102" s="18"/>
    </row>
    <row r="103" spans="1:7" ht="16.5" customHeight="1">
      <c r="A103" s="62" t="str">
        <f t="shared" si="6"/>
        <v>13  Subcon 4  </v>
      </c>
      <c r="B103" s="99">
        <f t="shared" si="7"/>
        <v>500</v>
      </c>
      <c r="C103" s="84">
        <f t="shared" si="8"/>
        <v>500</v>
      </c>
      <c r="D103" s="32"/>
      <c r="G103" s="18"/>
    </row>
    <row r="104" spans="1:7" ht="16.5" customHeight="1">
      <c r="A104" s="22" t="s">
        <v>8</v>
      </c>
      <c r="B104" s="68">
        <f>SUM(Supply_used)</f>
        <v>7000</v>
      </c>
      <c r="C104" s="100">
        <f>SUM(Supply_avail)</f>
        <v>7750</v>
      </c>
      <c r="D104" s="32"/>
      <c r="G104" s="18"/>
    </row>
    <row r="105" spans="1:4" ht="15.75" customHeight="1">
      <c r="A105" s="59"/>
      <c r="B105" s="16"/>
      <c r="C105" s="60"/>
      <c r="D105" s="16"/>
    </row>
    <row r="106" spans="1:4" ht="15.75" customHeight="1">
      <c r="A106" s="108" t="s">
        <v>15</v>
      </c>
      <c r="B106" s="109"/>
      <c r="C106" s="110"/>
      <c r="D106" s="28"/>
    </row>
    <row r="107" spans="1:4" ht="16.5" customHeight="1">
      <c r="A107" s="52"/>
      <c r="B107" s="23" t="s">
        <v>4</v>
      </c>
      <c r="C107" s="23" t="s">
        <v>4</v>
      </c>
      <c r="D107" s="31"/>
    </row>
    <row r="108" spans="1:4" ht="16.5" customHeight="1">
      <c r="A108" s="23" t="s">
        <v>5</v>
      </c>
      <c r="B108" s="21" t="s">
        <v>11</v>
      </c>
      <c r="C108" s="21" t="s">
        <v>13</v>
      </c>
      <c r="D108" s="31"/>
    </row>
    <row r="109" spans="1:7" ht="16.5" customHeight="1">
      <c r="A109" s="58" t="str">
        <f>"j=1 "&amp;B17</f>
        <v>j=1 Qtr 1</v>
      </c>
      <c r="B109" s="93">
        <f>SUM(B54:B66)</f>
        <v>900</v>
      </c>
      <c r="C109" s="93">
        <f>B31</f>
        <v>900</v>
      </c>
      <c r="D109" s="32"/>
      <c r="G109" s="18"/>
    </row>
    <row r="110" spans="1:7" ht="16.5" customHeight="1">
      <c r="A110" s="61" t="str">
        <f>"2 "&amp;C17</f>
        <v>2 Qtr 2</v>
      </c>
      <c r="B110" s="94">
        <f>SUM(C54:C66)</f>
        <v>1500</v>
      </c>
      <c r="C110" s="94">
        <f>C31</f>
        <v>1500</v>
      </c>
      <c r="D110" s="32"/>
      <c r="G110" s="18"/>
    </row>
    <row r="111" spans="1:7" ht="16.5" customHeight="1">
      <c r="A111" s="61" t="str">
        <f>"3 "&amp;D17</f>
        <v>3 Qtr 3</v>
      </c>
      <c r="B111" s="94">
        <f>SUM(D54:D66)</f>
        <v>1600</v>
      </c>
      <c r="C111" s="94">
        <f>D31</f>
        <v>1600</v>
      </c>
      <c r="D111" s="32"/>
      <c r="G111" s="18"/>
    </row>
    <row r="112" spans="1:7" ht="16.5" customHeight="1">
      <c r="A112" s="61" t="str">
        <f>"4 "&amp;E17</f>
        <v>4 Qtr 4</v>
      </c>
      <c r="B112" s="94">
        <f>SUM(E54:E66)</f>
        <v>3000</v>
      </c>
      <c r="C112" s="94">
        <f>E31</f>
        <v>3000</v>
      </c>
      <c r="D112" s="32"/>
      <c r="G112" s="18"/>
    </row>
    <row r="113" spans="1:8" ht="16.5" customHeight="1">
      <c r="A113" s="11" t="s">
        <v>8</v>
      </c>
      <c r="B113" s="95">
        <f>SUM(Demand_used)</f>
        <v>7000</v>
      </c>
      <c r="C113" s="96">
        <f>SUM(Demand_desired)</f>
        <v>7000</v>
      </c>
      <c r="E113" s="30"/>
      <c r="H113" s="16"/>
    </row>
    <row r="114" spans="1:8" ht="16.5" customHeight="1">
      <c r="A114" s="28"/>
      <c r="B114" s="31"/>
      <c r="C114" s="28"/>
      <c r="E114" s="30"/>
      <c r="H114" s="16"/>
    </row>
    <row r="115" spans="1:8" ht="18" customHeight="1">
      <c r="A115" s="107" t="s">
        <v>56</v>
      </c>
      <c r="B115" s="26"/>
      <c r="C115" s="26"/>
      <c r="D115" s="26"/>
      <c r="E115" s="14"/>
      <c r="H115" s="16"/>
    </row>
    <row r="116" spans="1:8" ht="16.5" customHeight="1">
      <c r="A116" s="42"/>
      <c r="B116" s="76" t="s">
        <v>5</v>
      </c>
      <c r="C116" s="29"/>
      <c r="D116" s="29"/>
      <c r="E116" s="70"/>
      <c r="H116" s="16"/>
    </row>
    <row r="117" spans="1:8" ht="16.5" customHeight="1">
      <c r="A117" s="59"/>
      <c r="B117" s="11" t="str">
        <f aca="true" t="shared" si="9" ref="B117:E118">B16</f>
        <v>j=1</v>
      </c>
      <c r="C117" s="11">
        <f t="shared" si="9"/>
        <v>2</v>
      </c>
      <c r="D117" s="11">
        <f t="shared" si="9"/>
        <v>3</v>
      </c>
      <c r="E117" s="11">
        <f t="shared" si="9"/>
        <v>4</v>
      </c>
      <c r="H117" s="16"/>
    </row>
    <row r="118" spans="1:8" ht="16.5" customHeight="1">
      <c r="A118" s="71" t="s">
        <v>6</v>
      </c>
      <c r="B118" s="69" t="str">
        <f t="shared" si="9"/>
        <v>Qtr 1</v>
      </c>
      <c r="C118" s="69" t="str">
        <f t="shared" si="9"/>
        <v>Qtr 2</v>
      </c>
      <c r="D118" s="69" t="str">
        <f t="shared" si="9"/>
        <v>Qtr 3</v>
      </c>
      <c r="E118" s="72" t="str">
        <f t="shared" si="9"/>
        <v>Qtr 4</v>
      </c>
      <c r="H118" s="16"/>
    </row>
    <row r="119" spans="1:8" ht="16.5" customHeight="1">
      <c r="A119" s="73" t="s">
        <v>32</v>
      </c>
      <c r="B119" s="89">
        <f>SUM(B55:E55)</f>
        <v>1000</v>
      </c>
      <c r="C119" s="89">
        <f>SUM(B58:E58)</f>
        <v>1200</v>
      </c>
      <c r="D119" s="89">
        <f>SUM(B61:E61)</f>
        <v>1300</v>
      </c>
      <c r="E119" s="90">
        <f>SUM(B64:E64)</f>
        <v>1300</v>
      </c>
      <c r="H119" s="16"/>
    </row>
    <row r="120" spans="1:8" ht="16.5" customHeight="1">
      <c r="A120" s="74" t="s">
        <v>33</v>
      </c>
      <c r="B120" s="89">
        <f>SUM(B56:E56)</f>
        <v>100</v>
      </c>
      <c r="C120" s="89">
        <f>SUM(B59:E59)</f>
        <v>150</v>
      </c>
      <c r="D120" s="89">
        <f>SUM(B62:E62)</f>
        <v>200</v>
      </c>
      <c r="E120" s="90">
        <f>SUM(B65:E65)</f>
        <v>200</v>
      </c>
      <c r="H120" s="16"/>
    </row>
    <row r="121" spans="1:8" ht="16.5" customHeight="1">
      <c r="A121" s="75" t="s">
        <v>34</v>
      </c>
      <c r="B121" s="91">
        <f>SUM(B57:E57)</f>
        <v>0</v>
      </c>
      <c r="C121" s="91">
        <f>SUM(B60:E60)</f>
        <v>250</v>
      </c>
      <c r="D121" s="91">
        <f>SUM(B63:E63)</f>
        <v>500</v>
      </c>
      <c r="E121" s="92">
        <f>SUM(B66:E66)</f>
        <v>500</v>
      </c>
      <c r="H121" s="16"/>
    </row>
    <row r="122" spans="1:8" ht="16.5" customHeight="1">
      <c r="A122" s="28"/>
      <c r="B122" s="31"/>
      <c r="C122" s="28"/>
      <c r="E122" s="30"/>
      <c r="H122" s="16"/>
    </row>
    <row r="123" spans="1:5" ht="18">
      <c r="A123" s="24"/>
      <c r="C123" s="24"/>
      <c r="D123" s="24"/>
      <c r="E123" s="24"/>
    </row>
  </sheetData>
  <mergeCells count="4">
    <mergeCell ref="A106:C106"/>
    <mergeCell ref="A88:C88"/>
    <mergeCell ref="A87:C87"/>
    <mergeCell ref="B15:E15"/>
  </mergeCells>
  <printOptions/>
  <pageMargins left="0.8" right="0.8" top="0.7" bottom="0.7" header="0.5" footer="0.5"/>
  <pageSetup fitToHeight="2" horizontalDpi="600" verticalDpi="600" orientation="portrait" scale="62" r:id="rId8"/>
  <headerFooter alignWithMargins="0">
    <oddHeader>&amp;LFile: &amp;F&amp;RAs of: &amp;D - &amp;T</oddHeader>
  </headerFooter>
  <rowBreaks count="1" manualBreakCount="1">
    <brk id="67" max="9" man="1"/>
  </rowBreaks>
  <drawing r:id="rId7"/>
  <legacyDrawing r:id="rId6"/>
  <oleObjects>
    <oleObject progId="Equation" shapeId="25378" r:id="rId1"/>
    <oleObject progId="Equation" shapeId="723879" r:id="rId2"/>
    <oleObject progId="Equation" shapeId="2432015" r:id="rId3"/>
    <oleObject progId="Equation" shapeId="2533599" r:id="rId4"/>
    <oleObject progId="Equation.3" shapeId="258069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Lyons</dc:creator>
  <cp:keywords/>
  <dc:description/>
  <cp:lastModifiedBy>Patrick J. Lyons</cp:lastModifiedBy>
  <cp:lastPrinted>1999-02-07T03:12:35Z</cp:lastPrinted>
  <dcterms:created xsi:type="dcterms:W3CDTF">1998-10-07T19:37:05Z</dcterms:created>
  <dcterms:modified xsi:type="dcterms:W3CDTF">2006-11-27T16:08:16Z</dcterms:modified>
  <cp:category/>
  <cp:version/>
  <cp:contentType/>
  <cp:contentStatus/>
</cp:coreProperties>
</file>